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fre\Desktop\"/>
    </mc:Choice>
  </mc:AlternateContent>
  <xr:revisionPtr revIDLastSave="0" documentId="13_ncr:1_{E8B97176-2FEE-4031-B319-35CD7C00F051}" xr6:coauthVersionLast="45" xr6:coauthVersionMax="45" xr10:uidLastSave="{00000000-0000-0000-0000-000000000000}"/>
  <bookViews>
    <workbookView xWindow="-120" yWindow="-120" windowWidth="20730" windowHeight="11160" firstSheet="2" activeTab="4" xr2:uid="{F083D3D0-208B-42B1-9460-0D3115C31C01}"/>
  </bookViews>
  <sheets>
    <sheet name="Identificación de Costos" sheetId="2" r:id="rId1"/>
    <sheet name="Punto de equilibrio contable" sheetId="1" r:id="rId2"/>
    <sheet name="Punto de equilibrio economico" sheetId="3" r:id="rId3"/>
    <sheet name="P. E. Economico e impuestos" sheetId="4" r:id="rId4"/>
    <sheet name="P. E. E. I. Varios Productos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L5" i="1"/>
  <c r="E34" i="2"/>
  <c r="B19" i="5"/>
  <c r="B11" i="4"/>
  <c r="D5" i="5" l="1"/>
  <c r="D7" i="5"/>
  <c r="C5" i="5"/>
  <c r="C7" i="5"/>
  <c r="F15" i="4"/>
  <c r="F13" i="3"/>
  <c r="E33" i="2"/>
  <c r="E32" i="2"/>
  <c r="D23" i="2"/>
  <c r="D18" i="2"/>
  <c r="D13" i="2"/>
  <c r="D12" i="2"/>
  <c r="D11" i="2"/>
  <c r="D10" i="2"/>
  <c r="D9" i="2"/>
  <c r="D8" i="2"/>
  <c r="D7" i="2"/>
  <c r="D6" i="2"/>
  <c r="D5" i="2"/>
  <c r="B24" i="5"/>
  <c r="C9" i="5"/>
  <c r="C13" i="5" s="1"/>
  <c r="D9" i="5"/>
  <c r="D13" i="5" s="1"/>
  <c r="B5" i="5"/>
  <c r="B9" i="4"/>
  <c r="B9" i="3"/>
  <c r="N5" i="3" s="1"/>
  <c r="B9" i="1"/>
  <c r="M5" i="1" s="1"/>
  <c r="E35" i="2"/>
  <c r="B17" i="5" s="1"/>
  <c r="E23" i="2"/>
  <c r="E24" i="2" s="1"/>
  <c r="E18" i="2"/>
  <c r="E11" i="2"/>
  <c r="E12" i="2"/>
  <c r="E9" i="2"/>
  <c r="E10" i="2"/>
  <c r="E13" i="2"/>
  <c r="E8" i="2"/>
  <c r="E7" i="2"/>
  <c r="E6" i="2"/>
  <c r="E5" i="2"/>
  <c r="D26" i="5" l="1"/>
  <c r="P8" i="5"/>
  <c r="B7" i="3"/>
  <c r="O8" i="3" s="1"/>
  <c r="B7" i="1"/>
  <c r="B7" i="4"/>
  <c r="O8" i="4" s="1"/>
  <c r="N5" i="4"/>
  <c r="E14" i="2"/>
  <c r="E26" i="2" s="1"/>
  <c r="E19" i="2"/>
  <c r="D13" i="3" l="1"/>
  <c r="H13" i="3" s="1"/>
  <c r="D11" i="1"/>
  <c r="N8" i="1"/>
  <c r="D15" i="4"/>
  <c r="H15" i="4" s="1"/>
  <c r="B5" i="4"/>
  <c r="B5" i="3"/>
  <c r="N6" i="3" s="1"/>
  <c r="B5" i="1"/>
  <c r="M6" i="1" s="1"/>
  <c r="B7" i="5"/>
  <c r="B9" i="5" s="1"/>
  <c r="B13" i="5" s="1"/>
  <c r="F13" i="5" s="1"/>
  <c r="D27" i="5" s="1"/>
  <c r="F26" i="5" s="1"/>
  <c r="H26" i="5" s="1"/>
  <c r="D12" i="1"/>
  <c r="H11" i="1" l="1"/>
  <c r="L6" i="1" s="1"/>
  <c r="B15" i="5"/>
  <c r="D15" i="5"/>
  <c r="C15" i="5"/>
  <c r="N5" i="5" s="1"/>
  <c r="D14" i="3"/>
  <c r="H14" i="3" s="1"/>
  <c r="J13" i="3" s="1"/>
  <c r="L13" i="3" s="1"/>
  <c r="N6" i="4"/>
  <c r="D16" i="4"/>
  <c r="H16" i="4" s="1"/>
  <c r="J15" i="4" s="1"/>
  <c r="L15" i="4" s="1"/>
  <c r="N5" i="1"/>
  <c r="N6" i="1"/>
  <c r="F11" i="1"/>
  <c r="M5" i="4" l="1"/>
  <c r="M6" i="4" s="1"/>
  <c r="O6" i="4" s="1"/>
  <c r="M5" i="3"/>
  <c r="M6" i="3" s="1"/>
  <c r="O6" i="3" s="1"/>
  <c r="N6" i="5"/>
  <c r="O6" i="5"/>
  <c r="O5" i="5"/>
  <c r="M6" i="5"/>
  <c r="M5" i="5"/>
  <c r="P5" i="5" s="1"/>
  <c r="N7" i="1"/>
  <c r="N9" i="1" s="1"/>
  <c r="O5" i="4" l="1"/>
  <c r="O7" i="4"/>
  <c r="O9" i="4" s="1"/>
  <c r="O10" i="4" s="1"/>
  <c r="O11" i="4" s="1"/>
  <c r="O5" i="3"/>
  <c r="O7" i="3" s="1"/>
  <c r="O9" i="3" s="1"/>
  <c r="P6" i="5"/>
  <c r="P7" i="5" s="1"/>
  <c r="P9" i="5" s="1"/>
  <c r="P10" i="5" s="1"/>
  <c r="P11" i="5" s="1"/>
</calcChain>
</file>

<file path=xl/sharedStrings.xml><?xml version="1.0" encoding="utf-8"?>
<sst xmlns="http://schemas.openxmlformats.org/spreadsheetml/2006/main" count="154" uniqueCount="65">
  <si>
    <t>Elementos</t>
  </si>
  <si>
    <t>Costos Variables</t>
  </si>
  <si>
    <t>Costos Fijos</t>
  </si>
  <si>
    <t>Punto de Equilibrio en unidades</t>
  </si>
  <si>
    <t>Costos fijos</t>
  </si>
  <si>
    <t>Costos Variables Unitarios (CVU)</t>
  </si>
  <si>
    <t>Precio de venta unitario (PVU)</t>
  </si>
  <si>
    <t>PVU - CVU</t>
  </si>
  <si>
    <t>=</t>
  </si>
  <si>
    <t>Unidades</t>
  </si>
  <si>
    <t>Ingresos</t>
  </si>
  <si>
    <t>Costo de Ventas Totales</t>
  </si>
  <si>
    <t>Utilidad Marginal</t>
  </si>
  <si>
    <t>Utilidad Neta</t>
  </si>
  <si>
    <t>Concepto</t>
  </si>
  <si>
    <t>Materias Primas</t>
  </si>
  <si>
    <t>Pan</t>
  </si>
  <si>
    <t>Carne</t>
  </si>
  <si>
    <t>Unidad de Medida</t>
  </si>
  <si>
    <t>Costo</t>
  </si>
  <si>
    <t>Pieza</t>
  </si>
  <si>
    <t>Cantidad</t>
  </si>
  <si>
    <t>Queso Manchego</t>
  </si>
  <si>
    <t>Rajas de Jalapeño</t>
  </si>
  <si>
    <t>Jitomate</t>
  </si>
  <si>
    <t>Lechuga</t>
  </si>
  <si>
    <t>Catsup</t>
  </si>
  <si>
    <t>Mostaza</t>
  </si>
  <si>
    <t>Mayonesa</t>
  </si>
  <si>
    <t>Total</t>
  </si>
  <si>
    <t>Gramos</t>
  </si>
  <si>
    <t>Mililitros</t>
  </si>
  <si>
    <t>Costo Unitario</t>
  </si>
  <si>
    <t>Mano de Obra</t>
  </si>
  <si>
    <t>Hora-hombre</t>
  </si>
  <si>
    <t>Salario</t>
  </si>
  <si>
    <t>Gastos indirectos</t>
  </si>
  <si>
    <t xml:space="preserve">Gas </t>
  </si>
  <si>
    <t>Costo Unitario Total</t>
  </si>
  <si>
    <t xml:space="preserve">Costos fijos </t>
  </si>
  <si>
    <t>Salarios</t>
  </si>
  <si>
    <t>Renta</t>
  </si>
  <si>
    <t>Luz</t>
  </si>
  <si>
    <t>$</t>
  </si>
  <si>
    <t>Estado de Resultados Mensual</t>
  </si>
  <si>
    <t>Punto de Equilibrio Contable con un Producto</t>
  </si>
  <si>
    <t>Punto de Equilibrio Económico con un Producto</t>
  </si>
  <si>
    <t>Utilidades Deseadas</t>
  </si>
  <si>
    <t>+</t>
  </si>
  <si>
    <t>Costos fijos + Utilidades deseadas</t>
  </si>
  <si>
    <t>o</t>
  </si>
  <si>
    <t>Costos fijos + (Utilidades deseadas/(1- impuestos))</t>
  </si>
  <si>
    <t>Impuestos</t>
  </si>
  <si>
    <t>Utilidad antes de Imp.</t>
  </si>
  <si>
    <t>Hamburguesa</t>
  </si>
  <si>
    <t>Papas</t>
  </si>
  <si>
    <t>Alitas</t>
  </si>
  <si>
    <t>Participación en el mercado</t>
  </si>
  <si>
    <t>Margen de contribución</t>
  </si>
  <si>
    <t>Contribución Marginal Ponderada</t>
  </si>
  <si>
    <t>Unidades a producir y vender</t>
  </si>
  <si>
    <t>Punto de Equilibrio Económico con varios productos</t>
  </si>
  <si>
    <t>Precio de venta de cada hamburguesa es de:</t>
  </si>
  <si>
    <t>Costos fijos + (Utilidades deseadas/(1- % impuestos))</t>
  </si>
  <si>
    <t>Hamburguesas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</si>
</sst>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venir Next LT Pro Light"/>
      <family val="2"/>
    </font>
    <font>
      <sz val="12"/>
      <color theme="1"/>
      <name val="Avenir Next LT Pro Light"/>
      <family val="2"/>
    </font>
    <font>
      <b/>
      <sz val="12"/>
      <color theme="1"/>
      <name val="Avenir Next LT Pro Light"/>
      <family val="2"/>
    </font>
    <font>
      <b/>
      <sz val="14"/>
      <color theme="1"/>
      <name val="Avenir Next LT Pro Light"/>
      <family val="2"/>
    </font>
    <font>
      <b/>
      <i/>
      <sz val="11"/>
      <color theme="1"/>
      <name val="Avenir Next LT Pro Light"/>
      <family val="2"/>
    </font>
    <font>
      <i/>
      <sz val="11"/>
      <color theme="1"/>
      <name val="Avenir Next LT Pro Light"/>
      <family val="2"/>
    </font>
    <font>
      <b/>
      <i/>
      <sz val="12"/>
      <color theme="1"/>
      <name val="Avenir Next LT Pro Light"/>
      <family val="2"/>
    </font>
    <font>
      <u val="singleAccounting"/>
      <sz val="12"/>
      <color theme="1"/>
      <name val="Avenir Next LT Pro Light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uble">
        <color rgb="FF002060"/>
      </left>
      <right/>
      <top/>
      <bottom/>
      <diagonal/>
    </border>
    <border>
      <left/>
      <right/>
      <top style="double">
        <color rgb="FF002060"/>
      </top>
      <bottom/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double">
        <color rgb="FF002060"/>
      </left>
      <right/>
      <top style="double">
        <color rgb="FF002060"/>
      </top>
      <bottom/>
      <diagonal/>
    </border>
    <border>
      <left/>
      <right/>
      <top style="double">
        <color rgb="FF002060"/>
      </top>
      <bottom style="double">
        <color rgb="FF002060"/>
      </bottom>
      <diagonal/>
    </border>
    <border>
      <left/>
      <right/>
      <top/>
      <bottom style="double">
        <color rgb="FF00206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44" fontId="2" fillId="0" borderId="0" xfId="2" applyFont="1"/>
    <xf numFmtId="44" fontId="2" fillId="0" borderId="0" xfId="0" applyNumberFormat="1" applyFont="1"/>
    <xf numFmtId="0" fontId="3" fillId="0" borderId="0" xfId="0" applyFont="1"/>
    <xf numFmtId="44" fontId="3" fillId="0" borderId="0" xfId="2" applyFont="1"/>
    <xf numFmtId="0" fontId="3" fillId="0" borderId="0" xfId="0" applyFont="1" applyAlignment="1">
      <alignment horizontal="center"/>
    </xf>
    <xf numFmtId="44" fontId="3" fillId="0" borderId="0" xfId="0" applyNumberFormat="1" applyFont="1"/>
    <xf numFmtId="43" fontId="3" fillId="0" borderId="0" xfId="1" applyFont="1"/>
    <xf numFmtId="0" fontId="3" fillId="0" borderId="0" xfId="0" applyFont="1" applyAlignment="1">
      <alignment horizontal="center"/>
    </xf>
    <xf numFmtId="44" fontId="3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/>
    <xf numFmtId="44" fontId="3" fillId="0" borderId="2" xfId="2" applyFont="1" applyBorder="1"/>
    <xf numFmtId="44" fontId="3" fillId="0" borderId="3" xfId="2" applyFont="1" applyBorder="1"/>
    <xf numFmtId="44" fontId="3" fillId="0" borderId="4" xfId="2" applyFont="1" applyBorder="1"/>
    <xf numFmtId="44" fontId="3" fillId="0" borderId="5" xfId="2" applyFont="1" applyBorder="1"/>
    <xf numFmtId="0" fontId="3" fillId="0" borderId="2" xfId="0" applyFont="1" applyBorder="1"/>
    <xf numFmtId="43" fontId="3" fillId="0" borderId="3" xfId="1" applyFont="1" applyBorder="1"/>
    <xf numFmtId="0" fontId="6" fillId="0" borderId="0" xfId="0" applyFont="1"/>
    <xf numFmtId="0" fontId="7" fillId="0" borderId="0" xfId="0" applyFont="1" applyAlignment="1">
      <alignment horizontal="center"/>
    </xf>
    <xf numFmtId="0" fontId="2" fillId="0" borderId="0" xfId="0" applyNumberFormat="1" applyFont="1"/>
    <xf numFmtId="0" fontId="7" fillId="0" borderId="0" xfId="0" applyFont="1"/>
    <xf numFmtId="44" fontId="6" fillId="0" borderId="0" xfId="0" applyNumberFormat="1" applyFont="1"/>
    <xf numFmtId="44" fontId="6" fillId="0" borderId="0" xfId="2" applyFont="1"/>
    <xf numFmtId="44" fontId="3" fillId="0" borderId="3" xfId="0" applyNumberFormat="1" applyFont="1" applyBorder="1"/>
    <xf numFmtId="0" fontId="3" fillId="0" borderId="0" xfId="0" applyFont="1" applyBorder="1"/>
    <xf numFmtId="44" fontId="3" fillId="0" borderId="0" xfId="0" applyNumberFormat="1" applyFont="1" applyBorder="1"/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43" fontId="3" fillId="0" borderId="0" xfId="1" applyFont="1" applyBorder="1"/>
    <xf numFmtId="44" fontId="3" fillId="0" borderId="0" xfId="2" applyFont="1" applyBorder="1"/>
    <xf numFmtId="44" fontId="3" fillId="0" borderId="0" xfId="2" applyFont="1" applyAlignment="1">
      <alignment horizontal="center" vertical="center"/>
    </xf>
    <xf numFmtId="43" fontId="3" fillId="0" borderId="0" xfId="0" applyNumberFormat="1" applyFont="1" applyAlignment="1">
      <alignment horizontal="center"/>
    </xf>
    <xf numFmtId="44" fontId="9" fillId="0" borderId="0" xfId="2" applyFont="1"/>
    <xf numFmtId="44" fontId="3" fillId="0" borderId="6" xfId="0" applyNumberFormat="1" applyFont="1" applyBorder="1"/>
    <xf numFmtId="0" fontId="3" fillId="0" borderId="6" xfId="0" applyFont="1" applyBorder="1"/>
    <xf numFmtId="43" fontId="3" fillId="0" borderId="6" xfId="1" applyFont="1" applyBorder="1"/>
    <xf numFmtId="44" fontId="9" fillId="0" borderId="0" xfId="2" applyFont="1" applyBorder="1"/>
    <xf numFmtId="9" fontId="3" fillId="0" borderId="3" xfId="2" applyNumberFormat="1" applyFont="1" applyBorder="1"/>
    <xf numFmtId="44" fontId="3" fillId="0" borderId="0" xfId="2" applyFont="1" applyBorder="1" applyAlignment="1">
      <alignment horizontal="center" vertical="center"/>
    </xf>
    <xf numFmtId="9" fontId="3" fillId="0" borderId="3" xfId="3" applyFont="1" applyBorder="1"/>
    <xf numFmtId="9" fontId="3" fillId="0" borderId="0" xfId="0" applyNumberFormat="1" applyFont="1"/>
    <xf numFmtId="44" fontId="9" fillId="0" borderId="0" xfId="2" applyFont="1" applyAlignment="1">
      <alignment horizontal="center"/>
    </xf>
    <xf numFmtId="44" fontId="3" fillId="0" borderId="0" xfId="2" applyFont="1" applyAlignment="1">
      <alignment horizontal="center"/>
    </xf>
    <xf numFmtId="44" fontId="4" fillId="0" borderId="0" xfId="2" applyFont="1" applyBorder="1"/>
    <xf numFmtId="0" fontId="4" fillId="0" borderId="0" xfId="0" applyFont="1" applyBorder="1"/>
    <xf numFmtId="44" fontId="4" fillId="0" borderId="0" xfId="0" applyNumberFormat="1" applyFont="1" applyBorder="1"/>
    <xf numFmtId="44" fontId="4" fillId="0" borderId="0" xfId="0" applyNumberFormat="1" applyFont="1"/>
    <xf numFmtId="0" fontId="8" fillId="0" borderId="0" xfId="0" applyFont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FD6B4-1791-4567-AFEF-85CABCABCF43}">
  <dimension ref="A1:E35"/>
  <sheetViews>
    <sheetView topLeftCell="A19" zoomScaleNormal="100" workbookViewId="0">
      <selection activeCell="A31" sqref="A31"/>
    </sheetView>
  </sheetViews>
  <sheetFormatPr baseColWidth="10" defaultRowHeight="15" x14ac:dyDescent="0.25"/>
  <cols>
    <col min="1" max="1" width="21.5703125" style="1" customWidth="1"/>
    <col min="2" max="2" width="23.28515625" style="1" customWidth="1"/>
    <col min="3" max="3" width="16.5703125" style="1" bestFit="1" customWidth="1"/>
    <col min="4" max="4" width="12.85546875" style="1" bestFit="1" customWidth="1"/>
    <col min="5" max="5" width="20.140625" style="1" bestFit="1" customWidth="1"/>
    <col min="6" max="16384" width="11.42578125" style="1"/>
  </cols>
  <sheetData>
    <row r="1" spans="1:5" ht="18.75" x14ac:dyDescent="0.3">
      <c r="A1" s="12" t="s">
        <v>1</v>
      </c>
      <c r="B1" s="12"/>
      <c r="C1" s="12"/>
      <c r="D1" s="12"/>
      <c r="E1" s="12"/>
    </row>
    <row r="3" spans="1:5" x14ac:dyDescent="0.25">
      <c r="A3" s="20" t="s">
        <v>15</v>
      </c>
    </row>
    <row r="4" spans="1:5" x14ac:dyDescent="0.25">
      <c r="A4" s="21" t="s">
        <v>14</v>
      </c>
      <c r="B4" s="21" t="s">
        <v>18</v>
      </c>
      <c r="C4" s="21" t="s">
        <v>21</v>
      </c>
      <c r="D4" s="21" t="s">
        <v>19</v>
      </c>
      <c r="E4" s="23" t="s">
        <v>32</v>
      </c>
    </row>
    <row r="5" spans="1:5" x14ac:dyDescent="0.25">
      <c r="A5" s="1" t="s">
        <v>16</v>
      </c>
      <c r="B5" s="1" t="s">
        <v>20</v>
      </c>
      <c r="C5" s="1">
        <v>1</v>
      </c>
      <c r="D5" s="2">
        <f>45/12*180</f>
        <v>675</v>
      </c>
      <c r="E5" s="3">
        <f>+C5*D5</f>
        <v>675</v>
      </c>
    </row>
    <row r="6" spans="1:5" x14ac:dyDescent="0.25">
      <c r="A6" s="1" t="s">
        <v>17</v>
      </c>
      <c r="B6" s="1" t="s">
        <v>20</v>
      </c>
      <c r="C6" s="1">
        <v>1</v>
      </c>
      <c r="D6" s="2">
        <f>224/16*180</f>
        <v>2520</v>
      </c>
      <c r="E6" s="2">
        <f>+D6*C6</f>
        <v>2520</v>
      </c>
    </row>
    <row r="7" spans="1:5" x14ac:dyDescent="0.25">
      <c r="A7" s="1" t="s">
        <v>22</v>
      </c>
      <c r="B7" s="1" t="s">
        <v>20</v>
      </c>
      <c r="C7" s="1">
        <v>1</v>
      </c>
      <c r="D7" s="2">
        <f>213/50*180</f>
        <v>766.8</v>
      </c>
      <c r="E7" s="2">
        <f t="shared" ref="E7:E13" si="0">+D7*C7</f>
        <v>766.8</v>
      </c>
    </row>
    <row r="8" spans="1:5" x14ac:dyDescent="0.25">
      <c r="A8" s="1" t="s">
        <v>23</v>
      </c>
      <c r="B8" s="1" t="s">
        <v>20</v>
      </c>
      <c r="C8" s="1">
        <v>2</v>
      </c>
      <c r="D8" s="2">
        <f>82/(24*5)*180</f>
        <v>123</v>
      </c>
      <c r="E8" s="2">
        <f t="shared" si="0"/>
        <v>246</v>
      </c>
    </row>
    <row r="9" spans="1:5" x14ac:dyDescent="0.25">
      <c r="A9" s="1" t="s">
        <v>24</v>
      </c>
      <c r="B9" s="1" t="s">
        <v>20</v>
      </c>
      <c r="C9" s="22">
        <v>0.5</v>
      </c>
      <c r="D9" s="2">
        <f>3.75*180</f>
        <v>675</v>
      </c>
      <c r="E9" s="2">
        <f t="shared" si="0"/>
        <v>337.5</v>
      </c>
    </row>
    <row r="10" spans="1:5" x14ac:dyDescent="0.25">
      <c r="A10" s="1" t="s">
        <v>25</v>
      </c>
      <c r="B10" s="1" t="s">
        <v>30</v>
      </c>
      <c r="C10" s="22">
        <v>50</v>
      </c>
      <c r="D10" s="2">
        <f>0.03*180</f>
        <v>5.3999999999999995</v>
      </c>
      <c r="E10" s="2">
        <f t="shared" si="0"/>
        <v>270</v>
      </c>
    </row>
    <row r="11" spans="1:5" x14ac:dyDescent="0.25">
      <c r="A11" s="1" t="s">
        <v>26</v>
      </c>
      <c r="B11" s="1" t="s">
        <v>31</v>
      </c>
      <c r="C11" s="22">
        <v>35</v>
      </c>
      <c r="D11" s="2">
        <f>0.0333333333333333*180</f>
        <v>5.9999999999999938</v>
      </c>
      <c r="E11" s="2">
        <f t="shared" si="0"/>
        <v>209.99999999999977</v>
      </c>
    </row>
    <row r="12" spans="1:5" x14ac:dyDescent="0.25">
      <c r="A12" s="1" t="s">
        <v>27</v>
      </c>
      <c r="B12" s="1" t="s">
        <v>31</v>
      </c>
      <c r="C12" s="22">
        <v>35</v>
      </c>
      <c r="D12" s="2">
        <f>0.021*180</f>
        <v>3.7800000000000002</v>
      </c>
      <c r="E12" s="2">
        <f t="shared" si="0"/>
        <v>132.30000000000001</v>
      </c>
    </row>
    <row r="13" spans="1:5" x14ac:dyDescent="0.25">
      <c r="A13" s="1" t="s">
        <v>28</v>
      </c>
      <c r="B13" s="1" t="s">
        <v>31</v>
      </c>
      <c r="C13" s="22">
        <v>70</v>
      </c>
      <c r="D13" s="2">
        <f>0.057*180</f>
        <v>10.26</v>
      </c>
      <c r="E13" s="2">
        <f t="shared" si="0"/>
        <v>718.19999999999993</v>
      </c>
    </row>
    <row r="14" spans="1:5" x14ac:dyDescent="0.25">
      <c r="A14" s="20" t="s">
        <v>29</v>
      </c>
      <c r="B14" s="20"/>
      <c r="C14" s="20"/>
      <c r="D14" s="20"/>
      <c r="E14" s="24">
        <f>SUM(E5:E13)</f>
        <v>5875.8</v>
      </c>
    </row>
    <row r="16" spans="1:5" x14ac:dyDescent="0.25">
      <c r="A16" s="20" t="s">
        <v>33</v>
      </c>
    </row>
    <row r="17" spans="1:5" x14ac:dyDescent="0.25">
      <c r="A17" s="21" t="s">
        <v>14</v>
      </c>
      <c r="B17" s="21" t="s">
        <v>18</v>
      </c>
      <c r="C17" s="21" t="s">
        <v>21</v>
      </c>
      <c r="D17" s="21" t="s">
        <v>19</v>
      </c>
      <c r="E17" s="23" t="s">
        <v>32</v>
      </c>
    </row>
    <row r="18" spans="1:5" x14ac:dyDescent="0.25">
      <c r="A18" s="1" t="s">
        <v>35</v>
      </c>
      <c r="B18" s="1" t="s">
        <v>34</v>
      </c>
      <c r="C18" s="1">
        <v>0.2</v>
      </c>
      <c r="D18" s="2">
        <f>33.3333333333333*180</f>
        <v>5999.9999999999936</v>
      </c>
      <c r="E18" s="3">
        <f>+C18*D18</f>
        <v>1199.9999999999989</v>
      </c>
    </row>
    <row r="19" spans="1:5" x14ac:dyDescent="0.25">
      <c r="A19" s="20" t="s">
        <v>29</v>
      </c>
      <c r="B19" s="20"/>
      <c r="C19" s="20"/>
      <c r="D19" s="20"/>
      <c r="E19" s="24">
        <f>SUM(E18:E18)</f>
        <v>1199.9999999999989</v>
      </c>
    </row>
    <row r="21" spans="1:5" x14ac:dyDescent="0.25">
      <c r="A21" s="20" t="s">
        <v>36</v>
      </c>
    </row>
    <row r="22" spans="1:5" x14ac:dyDescent="0.25">
      <c r="A22" s="21" t="s">
        <v>14</v>
      </c>
      <c r="B22" s="21" t="s">
        <v>18</v>
      </c>
      <c r="C22" s="21" t="s">
        <v>21</v>
      </c>
      <c r="D22" s="21" t="s">
        <v>19</v>
      </c>
      <c r="E22" s="23" t="s">
        <v>32</v>
      </c>
    </row>
    <row r="23" spans="1:5" x14ac:dyDescent="0.25">
      <c r="A23" s="1" t="s">
        <v>37</v>
      </c>
      <c r="B23" s="1" t="s">
        <v>31</v>
      </c>
      <c r="C23" s="1">
        <v>30</v>
      </c>
      <c r="D23" s="2">
        <f>0.02*180</f>
        <v>3.6</v>
      </c>
      <c r="E23" s="3">
        <f>+C23*D23</f>
        <v>108</v>
      </c>
    </row>
    <row r="24" spans="1:5" x14ac:dyDescent="0.25">
      <c r="A24" s="20" t="s">
        <v>29</v>
      </c>
      <c r="B24" s="20"/>
      <c r="C24" s="20"/>
      <c r="D24" s="20"/>
      <c r="E24" s="24">
        <f>SUM(E23:E23)</f>
        <v>108</v>
      </c>
    </row>
    <row r="26" spans="1:5" x14ac:dyDescent="0.25">
      <c r="A26" s="20" t="s">
        <v>38</v>
      </c>
      <c r="B26" s="20"/>
      <c r="C26" s="20"/>
      <c r="D26" s="20"/>
      <c r="E26" s="24">
        <f>+E14+E19+E24</f>
        <v>7183.7999999999993</v>
      </c>
    </row>
    <row r="29" spans="1:5" x14ac:dyDescent="0.25">
      <c r="A29" s="1" t="s">
        <v>62</v>
      </c>
      <c r="C29" s="25">
        <v>15000</v>
      </c>
    </row>
    <row r="31" spans="1:5" x14ac:dyDescent="0.25">
      <c r="A31" s="20" t="s">
        <v>39</v>
      </c>
    </row>
    <row r="32" spans="1:5" x14ac:dyDescent="0.25">
      <c r="A32" s="1" t="s">
        <v>40</v>
      </c>
      <c r="E32" s="2">
        <f>2*4500*180</f>
        <v>1620000</v>
      </c>
    </row>
    <row r="33" spans="1:5" x14ac:dyDescent="0.25">
      <c r="A33" s="1" t="s">
        <v>41</v>
      </c>
      <c r="E33" s="2">
        <f>5000*180</f>
        <v>900000</v>
      </c>
    </row>
    <row r="34" spans="1:5" x14ac:dyDescent="0.25">
      <c r="A34" s="1" t="s">
        <v>42</v>
      </c>
      <c r="E34" s="2">
        <f>650*180</f>
        <v>117000</v>
      </c>
    </row>
    <row r="35" spans="1:5" x14ac:dyDescent="0.25">
      <c r="A35" s="20" t="s">
        <v>29</v>
      </c>
      <c r="E35" s="25">
        <f>SUM(E32:E34)</f>
        <v>2637000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44C95-228D-4D84-8FE1-BE2BD1E5F24F}">
  <dimension ref="A1:O15"/>
  <sheetViews>
    <sheetView topLeftCell="B1" zoomScaleNormal="100" workbookViewId="0">
      <selection activeCell="H11" sqref="H11"/>
    </sheetView>
  </sheetViews>
  <sheetFormatPr baseColWidth="10" defaultRowHeight="15.75" x14ac:dyDescent="0.25"/>
  <cols>
    <col min="1" max="1" width="35.7109375" style="4" customWidth="1"/>
    <col min="2" max="2" width="17.42578125" style="5" bestFit="1" customWidth="1"/>
    <col min="3" max="3" width="2" style="4" bestFit="1" customWidth="1"/>
    <col min="4" max="4" width="17.42578125" style="4" bestFit="1" customWidth="1"/>
    <col min="5" max="5" width="2" style="4" bestFit="1" customWidth="1"/>
    <col min="6" max="6" width="11.5703125" style="4" bestFit="1" customWidth="1"/>
    <col min="7" max="7" width="2" style="4" bestFit="1" customWidth="1"/>
    <col min="8" max="8" width="11.5703125" style="4" bestFit="1" customWidth="1"/>
    <col min="9" max="10" width="11.42578125" style="4"/>
    <col min="11" max="11" width="26.7109375" style="4" bestFit="1" customWidth="1"/>
    <col min="12" max="12" width="11.5703125" style="5" bestFit="1" customWidth="1"/>
    <col min="13" max="13" width="14.140625" style="4" bestFit="1" customWidth="1"/>
    <col min="14" max="14" width="17.42578125" style="4" bestFit="1" customWidth="1"/>
    <col min="15" max="16384" width="11.42578125" style="4"/>
  </cols>
  <sheetData>
    <row r="1" spans="1:15" ht="18.75" x14ac:dyDescent="0.3">
      <c r="A1" s="12" t="s">
        <v>45</v>
      </c>
      <c r="B1" s="12"/>
      <c r="C1" s="12"/>
      <c r="D1" s="12"/>
      <c r="E1" s="12"/>
      <c r="F1" s="12"/>
      <c r="G1" s="12"/>
      <c r="H1" s="12"/>
      <c r="I1" s="12"/>
    </row>
    <row r="2" spans="1:15" x14ac:dyDescent="0.25">
      <c r="K2" s="11" t="s">
        <v>44</v>
      </c>
      <c r="L2" s="11"/>
      <c r="M2" s="11"/>
      <c r="N2" s="11"/>
    </row>
    <row r="3" spans="1:15" x14ac:dyDescent="0.25">
      <c r="A3" s="4" t="s">
        <v>0</v>
      </c>
    </row>
    <row r="4" spans="1:15" ht="16.5" thickBot="1" x14ac:dyDescent="0.3">
      <c r="K4" s="30" t="s">
        <v>14</v>
      </c>
      <c r="L4" s="31" t="s">
        <v>9</v>
      </c>
      <c r="M4" s="31" t="s">
        <v>43</v>
      </c>
    </row>
    <row r="5" spans="1:15" ht="17.25" thickTop="1" thickBot="1" x14ac:dyDescent="0.3">
      <c r="A5" s="4" t="s">
        <v>5</v>
      </c>
      <c r="B5" s="15">
        <f>+'Identificación de Costos'!E26</f>
        <v>7183.7999999999993</v>
      </c>
      <c r="C5" s="13"/>
      <c r="K5" s="4" t="s">
        <v>10</v>
      </c>
      <c r="L5" s="8">
        <f>+H11</f>
        <v>337</v>
      </c>
      <c r="M5" s="7">
        <f>+B9</f>
        <v>15000</v>
      </c>
      <c r="N5" s="7">
        <f>+L5*M5</f>
        <v>5055000</v>
      </c>
    </row>
    <row r="6" spans="1:15" ht="17.25" thickTop="1" thickBot="1" x14ac:dyDescent="0.3">
      <c r="B6" s="14"/>
      <c r="K6" s="4" t="s">
        <v>11</v>
      </c>
      <c r="L6" s="8">
        <f>+L5</f>
        <v>337</v>
      </c>
      <c r="M6" s="7">
        <f>+B5</f>
        <v>7183.7999999999993</v>
      </c>
      <c r="N6" s="7">
        <f t="shared" ref="N6" si="0">+L6*M6</f>
        <v>2420940.5999999996</v>
      </c>
    </row>
    <row r="7" spans="1:15" ht="17.25" thickTop="1" thickBot="1" x14ac:dyDescent="0.3">
      <c r="A7" s="4" t="s">
        <v>2</v>
      </c>
      <c r="B7" s="15">
        <f>+'Identificación de Costos'!E35</f>
        <v>2637000</v>
      </c>
      <c r="K7" s="4" t="s">
        <v>12</v>
      </c>
      <c r="N7" s="7">
        <f>+N5-N6</f>
        <v>2634059.4000000004</v>
      </c>
    </row>
    <row r="8" spans="1:15" ht="17.25" thickTop="1" thickBot="1" x14ac:dyDescent="0.3">
      <c r="B8" s="17"/>
      <c r="K8" s="4" t="s">
        <v>4</v>
      </c>
      <c r="N8" s="28">
        <f>+B7</f>
        <v>2637000</v>
      </c>
      <c r="O8" s="27"/>
    </row>
    <row r="9" spans="1:15" ht="17.25" thickTop="1" thickBot="1" x14ac:dyDescent="0.3">
      <c r="A9" s="4" t="s">
        <v>6</v>
      </c>
      <c r="B9" s="16">
        <f>+'Identificación de Costos'!C29</f>
        <v>15000</v>
      </c>
      <c r="C9" s="13"/>
      <c r="K9" s="4" t="s">
        <v>13</v>
      </c>
      <c r="N9" s="26">
        <f>+N7-N8</f>
        <v>-2940.5999999996275</v>
      </c>
    </row>
    <row r="10" spans="1:15" ht="17.25" thickTop="1" thickBot="1" x14ac:dyDescent="0.3">
      <c r="B10" s="14"/>
    </row>
    <row r="11" spans="1:15" ht="17.25" thickTop="1" thickBot="1" x14ac:dyDescent="0.3">
      <c r="A11" s="4" t="s">
        <v>3</v>
      </c>
      <c r="B11" s="10" t="s">
        <v>4</v>
      </c>
      <c r="C11" s="4" t="s">
        <v>8</v>
      </c>
      <c r="D11" s="7">
        <f>+B7</f>
        <v>2637000</v>
      </c>
      <c r="E11" s="4" t="s">
        <v>8</v>
      </c>
      <c r="F11" s="8">
        <f>+D11/D12</f>
        <v>337.37621862286016</v>
      </c>
      <c r="G11" s="4" t="s">
        <v>8</v>
      </c>
      <c r="H11" s="19">
        <f>+ROUND(D11/D12,0)</f>
        <v>337</v>
      </c>
      <c r="I11" s="13" t="s">
        <v>9</v>
      </c>
    </row>
    <row r="12" spans="1:15" ht="16.5" thickTop="1" x14ac:dyDescent="0.25">
      <c r="B12" s="10" t="s">
        <v>7</v>
      </c>
      <c r="D12" s="7">
        <f>+B9-B5</f>
        <v>7816.2000000000007</v>
      </c>
      <c r="H12" s="18"/>
    </row>
    <row r="14" spans="1:15" x14ac:dyDescent="0.25">
      <c r="D14" s="7"/>
      <c r="F14" s="8"/>
      <c r="H14" s="8"/>
    </row>
    <row r="15" spans="1:15" x14ac:dyDescent="0.25">
      <c r="D15" s="7"/>
    </row>
  </sheetData>
  <mergeCells count="2">
    <mergeCell ref="K2:N2"/>
    <mergeCell ref="A1:I1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56A4-86C7-4BC4-9AE3-999C80321EA7}">
  <dimension ref="A1:P15"/>
  <sheetViews>
    <sheetView topLeftCell="B1" zoomScale="90" zoomScaleNormal="90" workbookViewId="0">
      <selection activeCell="F6" sqref="F6"/>
    </sheetView>
  </sheetViews>
  <sheetFormatPr baseColWidth="10" defaultRowHeight="15.75" x14ac:dyDescent="0.25"/>
  <cols>
    <col min="1" max="1" width="35.7109375" style="4" customWidth="1"/>
    <col min="2" max="2" width="37.140625" style="5" customWidth="1"/>
    <col min="3" max="3" width="2" style="4" bestFit="1" customWidth="1"/>
    <col min="4" max="4" width="17.42578125" style="4" bestFit="1" customWidth="1"/>
    <col min="5" max="5" width="2" style="4" bestFit="1" customWidth="1"/>
    <col min="6" max="6" width="16" style="4" customWidth="1"/>
    <col min="7" max="7" width="2" style="4" bestFit="1" customWidth="1"/>
    <col min="8" max="8" width="17.42578125" style="4" bestFit="1" customWidth="1"/>
    <col min="9" max="9" width="2.85546875" style="4" bestFit="1" customWidth="1"/>
    <col min="10" max="10" width="11.42578125" style="4"/>
    <col min="11" max="11" width="3.140625" style="4" customWidth="1"/>
    <col min="12" max="12" width="25.5703125" style="4" customWidth="1"/>
    <col min="13" max="13" width="13" style="5" bestFit="1" customWidth="1"/>
    <col min="14" max="14" width="14.140625" style="4" bestFit="1" customWidth="1"/>
    <col min="15" max="15" width="17.42578125" style="4" bestFit="1" customWidth="1"/>
    <col min="16" max="16384" width="11.42578125" style="4"/>
  </cols>
  <sheetData>
    <row r="1" spans="1:16" ht="18.75" x14ac:dyDescent="0.3">
      <c r="A1" s="12" t="s">
        <v>46</v>
      </c>
      <c r="B1" s="12"/>
      <c r="C1" s="12"/>
      <c r="D1" s="12"/>
      <c r="E1" s="12"/>
      <c r="F1" s="12"/>
      <c r="G1" s="12"/>
      <c r="H1" s="12"/>
      <c r="I1" s="12"/>
    </row>
    <row r="2" spans="1:16" x14ac:dyDescent="0.25">
      <c r="L2" s="11" t="s">
        <v>44</v>
      </c>
      <c r="M2" s="11"/>
      <c r="N2" s="11"/>
      <c r="O2" s="11"/>
    </row>
    <row r="3" spans="1:16" x14ac:dyDescent="0.25">
      <c r="A3" s="4" t="s">
        <v>0</v>
      </c>
    </row>
    <row r="4" spans="1:16" ht="16.5" thickBot="1" x14ac:dyDescent="0.3">
      <c r="L4" s="30" t="s">
        <v>14</v>
      </c>
      <c r="M4" s="31" t="s">
        <v>9</v>
      </c>
      <c r="N4" s="31" t="s">
        <v>43</v>
      </c>
    </row>
    <row r="5" spans="1:16" ht="17.25" thickTop="1" thickBot="1" x14ac:dyDescent="0.3">
      <c r="A5" s="4" t="s">
        <v>5</v>
      </c>
      <c r="B5" s="15">
        <f>+'Identificación de Costos'!E26</f>
        <v>7183.7999999999993</v>
      </c>
      <c r="C5" s="13"/>
      <c r="L5" s="4" t="s">
        <v>10</v>
      </c>
      <c r="M5" s="8">
        <f>+L13</f>
        <v>453</v>
      </c>
      <c r="N5" s="7">
        <f>+B9</f>
        <v>15000</v>
      </c>
      <c r="O5" s="7">
        <f>+M5*N5</f>
        <v>6795000</v>
      </c>
    </row>
    <row r="6" spans="1:16" ht="17.25" thickTop="1" thickBot="1" x14ac:dyDescent="0.3">
      <c r="B6" s="14"/>
      <c r="L6" s="4" t="s">
        <v>11</v>
      </c>
      <c r="M6" s="8">
        <f>+M5</f>
        <v>453</v>
      </c>
      <c r="N6" s="7">
        <f>+B5</f>
        <v>7183.7999999999993</v>
      </c>
      <c r="O6" s="7">
        <f t="shared" ref="O6" si="0">+M6*N6</f>
        <v>3254261.3999999994</v>
      </c>
    </row>
    <row r="7" spans="1:16" ht="17.25" thickTop="1" thickBot="1" x14ac:dyDescent="0.3">
      <c r="A7" s="4" t="s">
        <v>2</v>
      </c>
      <c r="B7" s="15">
        <f>+'Identificación de Costos'!E35</f>
        <v>2637000</v>
      </c>
      <c r="L7" s="4" t="s">
        <v>12</v>
      </c>
      <c r="O7" s="7">
        <f>+O5-O6</f>
        <v>3540738.6000000006</v>
      </c>
    </row>
    <row r="8" spans="1:16" ht="17.25" thickTop="1" thickBot="1" x14ac:dyDescent="0.3">
      <c r="B8" s="17"/>
      <c r="L8" s="4" t="s">
        <v>4</v>
      </c>
      <c r="O8" s="28">
        <f>+B7</f>
        <v>2637000</v>
      </c>
      <c r="P8" s="27"/>
    </row>
    <row r="9" spans="1:16" ht="17.25" thickTop="1" thickBot="1" x14ac:dyDescent="0.3">
      <c r="A9" s="4" t="s">
        <v>6</v>
      </c>
      <c r="B9" s="16">
        <f>+'Identificación de Costos'!C29</f>
        <v>15000</v>
      </c>
      <c r="C9" s="13"/>
      <c r="L9" s="4" t="s">
        <v>13</v>
      </c>
      <c r="O9" s="26">
        <f>+O7-O8</f>
        <v>903738.60000000056</v>
      </c>
    </row>
    <row r="10" spans="1:16" ht="17.25" thickTop="1" thickBot="1" x14ac:dyDescent="0.3">
      <c r="B10" s="14"/>
    </row>
    <row r="11" spans="1:16" ht="17.25" thickTop="1" thickBot="1" x14ac:dyDescent="0.3">
      <c r="A11" s="4" t="s">
        <v>47</v>
      </c>
      <c r="B11" s="15">
        <v>900000</v>
      </c>
    </row>
    <row r="12" spans="1:16" ht="16.5" thickTop="1" x14ac:dyDescent="0.25">
      <c r="B12" s="4"/>
    </row>
    <row r="13" spans="1:16" x14ac:dyDescent="0.25">
      <c r="A13" s="4" t="s">
        <v>3</v>
      </c>
      <c r="B13" s="5" t="s">
        <v>49</v>
      </c>
      <c r="C13" s="4" t="s">
        <v>8</v>
      </c>
      <c r="D13" s="7">
        <f>+B7</f>
        <v>2637000</v>
      </c>
      <c r="E13" s="4" t="s">
        <v>48</v>
      </c>
      <c r="F13" s="8">
        <f>+B11</f>
        <v>900000</v>
      </c>
      <c r="G13" s="4" t="s">
        <v>8</v>
      </c>
      <c r="H13" s="33">
        <f>+D13+F13</f>
        <v>3537000</v>
      </c>
      <c r="I13" s="27" t="s">
        <v>8</v>
      </c>
      <c r="J13" s="8">
        <f>+H13/H14</f>
        <v>452.52168572963842</v>
      </c>
      <c r="K13" s="8" t="s">
        <v>50</v>
      </c>
      <c r="L13" s="35">
        <f>ROUND(J13,0)</f>
        <v>453</v>
      </c>
    </row>
    <row r="14" spans="1:16" x14ac:dyDescent="0.25">
      <c r="B14" s="10" t="s">
        <v>7</v>
      </c>
      <c r="D14" s="34">
        <f>+B9-B5</f>
        <v>7816.2000000000007</v>
      </c>
      <c r="E14" s="34"/>
      <c r="F14" s="34"/>
      <c r="H14" s="28">
        <f>+D14</f>
        <v>7816.2000000000007</v>
      </c>
    </row>
    <row r="15" spans="1:16" x14ac:dyDescent="0.25">
      <c r="D15" s="7"/>
    </row>
  </sheetData>
  <mergeCells count="3">
    <mergeCell ref="A1:I1"/>
    <mergeCell ref="L2:O2"/>
    <mergeCell ref="D14:F14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56071-6B76-487A-8319-52664AB2C7BF}">
  <dimension ref="A1:P16"/>
  <sheetViews>
    <sheetView topLeftCell="B1" zoomScale="90" zoomScaleNormal="90" workbookViewId="0">
      <selection activeCell="H15" sqref="H15"/>
    </sheetView>
  </sheetViews>
  <sheetFormatPr baseColWidth="10" defaultRowHeight="15.75" x14ac:dyDescent="0.25"/>
  <cols>
    <col min="1" max="1" width="35.7109375" style="4" customWidth="1"/>
    <col min="2" max="2" width="54.85546875" style="5" customWidth="1"/>
    <col min="3" max="3" width="2" style="4" bestFit="1" customWidth="1"/>
    <col min="4" max="4" width="17.42578125" style="4" bestFit="1" customWidth="1"/>
    <col min="5" max="5" width="2" style="4" bestFit="1" customWidth="1"/>
    <col min="6" max="6" width="16" style="4" bestFit="1" customWidth="1"/>
    <col min="7" max="7" width="2" style="4" bestFit="1" customWidth="1"/>
    <col min="8" max="8" width="17.42578125" style="4" bestFit="1" customWidth="1"/>
    <col min="9" max="9" width="2.85546875" style="4" bestFit="1" customWidth="1"/>
    <col min="10" max="10" width="11.42578125" style="4"/>
    <col min="11" max="11" width="3.140625" style="4" customWidth="1"/>
    <col min="12" max="12" width="26.7109375" style="4" bestFit="1" customWidth="1"/>
    <col min="13" max="13" width="13" style="5" bestFit="1" customWidth="1"/>
    <col min="14" max="14" width="14.140625" style="4" bestFit="1" customWidth="1"/>
    <col min="15" max="15" width="17.42578125" style="4" bestFit="1" customWidth="1"/>
    <col min="16" max="16384" width="11.42578125" style="4"/>
  </cols>
  <sheetData>
    <row r="1" spans="1:16" ht="18.75" x14ac:dyDescent="0.3">
      <c r="A1" s="12" t="s">
        <v>46</v>
      </c>
      <c r="B1" s="12"/>
      <c r="C1" s="12"/>
      <c r="D1" s="12"/>
      <c r="E1" s="12"/>
      <c r="F1" s="12"/>
      <c r="G1" s="12"/>
      <c r="H1" s="12"/>
      <c r="I1" s="12"/>
    </row>
    <row r="2" spans="1:16" x14ac:dyDescent="0.25">
      <c r="L2" s="11" t="s">
        <v>44</v>
      </c>
      <c r="M2" s="11"/>
      <c r="N2" s="11"/>
      <c r="O2" s="11"/>
    </row>
    <row r="3" spans="1:16" x14ac:dyDescent="0.25">
      <c r="A3" s="4" t="s">
        <v>0</v>
      </c>
    </row>
    <row r="4" spans="1:16" ht="16.5" thickBot="1" x14ac:dyDescent="0.3">
      <c r="L4" s="30" t="s">
        <v>14</v>
      </c>
      <c r="M4" s="31" t="s">
        <v>9</v>
      </c>
      <c r="N4" s="31" t="s">
        <v>43</v>
      </c>
    </row>
    <row r="5" spans="1:16" ht="17.25" thickTop="1" thickBot="1" x14ac:dyDescent="0.3">
      <c r="A5" s="4" t="s">
        <v>5</v>
      </c>
      <c r="B5" s="15">
        <f>+'Identificación de Costos'!E26</f>
        <v>7183.7999999999993</v>
      </c>
      <c r="C5" s="13"/>
      <c r="L5" s="4" t="s">
        <v>10</v>
      </c>
      <c r="M5" s="8">
        <f>+L15</f>
        <v>502</v>
      </c>
      <c r="N5" s="7">
        <f>+B9</f>
        <v>15000</v>
      </c>
      <c r="O5" s="7">
        <f>+M5*N5</f>
        <v>7530000</v>
      </c>
    </row>
    <row r="6" spans="1:16" ht="17.25" thickTop="1" thickBot="1" x14ac:dyDescent="0.3">
      <c r="B6" s="14"/>
      <c r="L6" s="4" t="s">
        <v>11</v>
      </c>
      <c r="M6" s="8">
        <f>+M5</f>
        <v>502</v>
      </c>
      <c r="N6" s="7">
        <f>+B5</f>
        <v>7183.7999999999993</v>
      </c>
      <c r="O6" s="7">
        <f t="shared" ref="O6" si="0">+M6*N6</f>
        <v>3606267.5999999996</v>
      </c>
    </row>
    <row r="7" spans="1:16" ht="17.25" thickTop="1" thickBot="1" x14ac:dyDescent="0.3">
      <c r="A7" s="4" t="s">
        <v>2</v>
      </c>
      <c r="B7" s="15">
        <f>+'Identificación de Costos'!E35</f>
        <v>2637000</v>
      </c>
      <c r="L7" s="4" t="s">
        <v>12</v>
      </c>
      <c r="O7" s="7">
        <f>+O5-O6</f>
        <v>3923732.4000000004</v>
      </c>
    </row>
    <row r="8" spans="1:16" ht="17.25" thickTop="1" thickBot="1" x14ac:dyDescent="0.3">
      <c r="B8" s="17"/>
      <c r="L8" s="4" t="s">
        <v>4</v>
      </c>
      <c r="O8" s="28">
        <f>+B7</f>
        <v>2637000</v>
      </c>
      <c r="P8" s="27"/>
    </row>
    <row r="9" spans="1:16" ht="17.25" thickTop="1" thickBot="1" x14ac:dyDescent="0.3">
      <c r="A9" s="4" t="s">
        <v>6</v>
      </c>
      <c r="B9" s="16">
        <f>+'Identificación de Costos'!C29</f>
        <v>15000</v>
      </c>
      <c r="C9" s="13"/>
      <c r="L9" s="4" t="s">
        <v>53</v>
      </c>
      <c r="M9" s="4"/>
      <c r="O9" s="7">
        <f>+O7-O8</f>
        <v>1286732.4000000004</v>
      </c>
    </row>
    <row r="10" spans="1:16" ht="17.25" thickTop="1" thickBot="1" x14ac:dyDescent="0.3">
      <c r="B10" s="14"/>
      <c r="L10" s="4" t="s">
        <v>52</v>
      </c>
      <c r="M10" s="4"/>
      <c r="O10" s="5">
        <f>+O9*B13</f>
        <v>386019.72000000009</v>
      </c>
    </row>
    <row r="11" spans="1:16" ht="17.25" thickTop="1" thickBot="1" x14ac:dyDescent="0.3">
      <c r="A11" s="4" t="s">
        <v>47</v>
      </c>
      <c r="B11" s="15">
        <f>+'Punto de equilibrio economico'!B11</f>
        <v>900000</v>
      </c>
      <c r="L11" s="4" t="s">
        <v>13</v>
      </c>
      <c r="O11" s="26">
        <f>+O9-O10</f>
        <v>900712.68000000028</v>
      </c>
    </row>
    <row r="12" spans="1:16" ht="17.25" thickTop="1" thickBot="1" x14ac:dyDescent="0.3">
      <c r="B12" s="4"/>
    </row>
    <row r="13" spans="1:16" ht="17.25" thickTop="1" thickBot="1" x14ac:dyDescent="0.3">
      <c r="A13" s="4" t="s">
        <v>52</v>
      </c>
      <c r="B13" s="41">
        <v>0.3</v>
      </c>
    </row>
    <row r="14" spans="1:16" ht="16.5" thickTop="1" x14ac:dyDescent="0.25">
      <c r="B14" s="4"/>
    </row>
    <row r="15" spans="1:16" ht="18.75" thickBot="1" x14ac:dyDescent="0.45">
      <c r="A15" s="4" t="s">
        <v>3</v>
      </c>
      <c r="B15" s="36" t="s">
        <v>63</v>
      </c>
      <c r="C15" s="4" t="s">
        <v>8</v>
      </c>
      <c r="D15" s="37">
        <f>+B7</f>
        <v>2637000</v>
      </c>
      <c r="E15" s="38" t="s">
        <v>48</v>
      </c>
      <c r="F15" s="39">
        <f>+B11/(1-B13)</f>
        <v>1285714.2857142857</v>
      </c>
      <c r="G15" s="4" t="s">
        <v>8</v>
      </c>
      <c r="H15" s="40">
        <f>+D15+F15</f>
        <v>3922714.2857142854</v>
      </c>
      <c r="I15" s="27" t="s">
        <v>8</v>
      </c>
      <c r="J15" s="8">
        <f>+H15/H16</f>
        <v>501.86974306111472</v>
      </c>
      <c r="K15" s="8" t="s">
        <v>50</v>
      </c>
      <c r="L15" s="35">
        <f>ROUND(J15,0)</f>
        <v>502</v>
      </c>
    </row>
    <row r="16" spans="1:16" ht="16.5" thickTop="1" x14ac:dyDescent="0.25">
      <c r="B16" s="10" t="s">
        <v>7</v>
      </c>
      <c r="D16" s="34">
        <f>+B9-B5</f>
        <v>7816.2000000000007</v>
      </c>
      <c r="E16" s="34"/>
      <c r="F16" s="34"/>
      <c r="H16" s="28">
        <f>+D16</f>
        <v>7816.2000000000007</v>
      </c>
    </row>
  </sheetData>
  <mergeCells count="3">
    <mergeCell ref="A1:I1"/>
    <mergeCell ref="L2:O2"/>
    <mergeCell ref="D16:F16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B1C53-4B3D-4DF5-AB79-036371ED74E7}">
  <dimension ref="A1:P27"/>
  <sheetViews>
    <sheetView tabSelected="1" topLeftCell="B1" zoomScale="90" zoomScaleNormal="90" workbookViewId="0">
      <selection activeCell="M12" sqref="M12"/>
    </sheetView>
  </sheetViews>
  <sheetFormatPr baseColWidth="10" defaultRowHeight="15.75" x14ac:dyDescent="0.25"/>
  <cols>
    <col min="1" max="1" width="35.7109375" style="4" customWidth="1"/>
    <col min="2" max="2" width="17.42578125" style="5" bestFit="1" customWidth="1"/>
    <col min="3" max="3" width="16.28515625" style="4" customWidth="1"/>
    <col min="4" max="4" width="18" style="4" customWidth="1"/>
    <col min="5" max="5" width="2" style="4" bestFit="1" customWidth="1"/>
    <col min="6" max="6" width="13.28515625" style="4" customWidth="1"/>
    <col min="7" max="7" width="2" style="4" bestFit="1" customWidth="1"/>
    <col min="8" max="8" width="14.140625" style="4" bestFit="1" customWidth="1"/>
    <col min="9" max="9" width="2.85546875" style="4" bestFit="1" customWidth="1"/>
    <col min="10" max="10" width="11.42578125" style="4"/>
    <col min="11" max="11" width="3.140625" style="4" customWidth="1"/>
    <col min="12" max="12" width="26.7109375" style="4" bestFit="1" customWidth="1"/>
    <col min="13" max="13" width="17.42578125" style="5" bestFit="1" customWidth="1"/>
    <col min="14" max="15" width="17.42578125" style="4" bestFit="1" customWidth="1"/>
    <col min="16" max="16" width="19.85546875" style="4" bestFit="1" customWidth="1"/>
    <col min="17" max="16384" width="11.42578125" style="4"/>
  </cols>
  <sheetData>
    <row r="1" spans="1:16" ht="18.75" x14ac:dyDescent="0.3">
      <c r="A1" s="12" t="s">
        <v>61</v>
      </c>
      <c r="B1" s="12"/>
      <c r="C1" s="12"/>
      <c r="D1" s="12"/>
      <c r="E1" s="12"/>
      <c r="F1" s="12"/>
      <c r="G1" s="12"/>
      <c r="H1" s="12"/>
      <c r="I1" s="12"/>
    </row>
    <row r="2" spans="1:16" x14ac:dyDescent="0.25">
      <c r="L2" s="11" t="s">
        <v>44</v>
      </c>
      <c r="M2" s="11"/>
      <c r="N2" s="11"/>
      <c r="O2" s="11"/>
    </row>
    <row r="3" spans="1:16" x14ac:dyDescent="0.25">
      <c r="A3" s="4" t="s">
        <v>0</v>
      </c>
      <c r="M3" s="51" t="s">
        <v>9</v>
      </c>
      <c r="N3" s="51"/>
      <c r="O3" s="51"/>
    </row>
    <row r="4" spans="1:16" ht="16.5" thickBot="1" x14ac:dyDescent="0.3">
      <c r="B4" s="10" t="s">
        <v>64</v>
      </c>
      <c r="C4" s="9" t="s">
        <v>55</v>
      </c>
      <c r="D4" s="9" t="s">
        <v>56</v>
      </c>
      <c r="F4" s="9"/>
      <c r="L4" s="30" t="s">
        <v>14</v>
      </c>
      <c r="M4" s="10" t="s">
        <v>54</v>
      </c>
      <c r="N4" s="9" t="s">
        <v>55</v>
      </c>
      <c r="O4" s="9" t="s">
        <v>56</v>
      </c>
      <c r="P4" s="9"/>
    </row>
    <row r="5" spans="1:16" ht="17.25" thickTop="1" thickBot="1" x14ac:dyDescent="0.3">
      <c r="A5" s="4" t="s">
        <v>6</v>
      </c>
      <c r="B5" s="15">
        <f>+'Identificación de Costos'!C29</f>
        <v>15000</v>
      </c>
      <c r="C5" s="15">
        <f>35*180</f>
        <v>6300</v>
      </c>
      <c r="D5" s="15">
        <f>50*180</f>
        <v>9000</v>
      </c>
      <c r="L5" s="4" t="s">
        <v>10</v>
      </c>
      <c r="M5" s="33">
        <f>+B15*B5</f>
        <v>5595000</v>
      </c>
      <c r="N5" s="28">
        <f>+C15*C5</f>
        <v>1278900</v>
      </c>
      <c r="O5" s="28">
        <f>+D15*D5</f>
        <v>918000</v>
      </c>
      <c r="P5" s="7">
        <f>+M5+N5+O5</f>
        <v>7791900</v>
      </c>
    </row>
    <row r="6" spans="1:16" ht="17.25" thickTop="1" thickBot="1" x14ac:dyDescent="0.3">
      <c r="L6" s="4" t="s">
        <v>11</v>
      </c>
      <c r="M6" s="33">
        <f>+B15*B7</f>
        <v>2679557.4</v>
      </c>
      <c r="N6" s="28">
        <f>+C15*C7</f>
        <v>730800</v>
      </c>
      <c r="O6" s="28">
        <f>+D15*D7</f>
        <v>459000</v>
      </c>
      <c r="P6" s="7">
        <f>+M6+N6+O6</f>
        <v>3869357.4</v>
      </c>
    </row>
    <row r="7" spans="1:16" ht="17.25" thickTop="1" thickBot="1" x14ac:dyDescent="0.3">
      <c r="A7" s="4" t="s">
        <v>5</v>
      </c>
      <c r="B7" s="15">
        <f>+'Identificación de Costos'!E26</f>
        <v>7183.7999999999993</v>
      </c>
      <c r="C7" s="15">
        <f>20*180</f>
        <v>3600</v>
      </c>
      <c r="D7" s="15">
        <f>25*180</f>
        <v>4500</v>
      </c>
      <c r="L7" s="4" t="s">
        <v>12</v>
      </c>
      <c r="M7" s="33"/>
      <c r="N7" s="27"/>
      <c r="O7" s="28"/>
      <c r="P7" s="7">
        <f>+P5-P6</f>
        <v>3922542.6</v>
      </c>
    </row>
    <row r="8" spans="1:16" ht="17.25" thickTop="1" thickBot="1" x14ac:dyDescent="0.3">
      <c r="B8" s="14"/>
      <c r="L8" s="4" t="s">
        <v>4</v>
      </c>
      <c r="M8" s="33"/>
      <c r="N8" s="27"/>
      <c r="O8" s="28"/>
      <c r="P8" s="28">
        <f>+B17</f>
        <v>2637000</v>
      </c>
    </row>
    <row r="9" spans="1:16" ht="17.25" thickTop="1" thickBot="1" x14ac:dyDescent="0.3">
      <c r="A9" s="4" t="s">
        <v>58</v>
      </c>
      <c r="B9" s="15">
        <f>+B5-B7</f>
        <v>7816.2000000000007</v>
      </c>
      <c r="C9" s="15">
        <f>+C5-C7</f>
        <v>2700</v>
      </c>
      <c r="D9" s="15">
        <f>+D5-D7</f>
        <v>4500</v>
      </c>
      <c r="L9" s="4" t="s">
        <v>53</v>
      </c>
      <c r="M9" s="27"/>
      <c r="N9" s="27"/>
      <c r="O9" s="28"/>
      <c r="P9" s="7">
        <f>+P7-P8</f>
        <v>1285542.6000000001</v>
      </c>
    </row>
    <row r="10" spans="1:16" ht="17.25" thickTop="1" thickBot="1" x14ac:dyDescent="0.3">
      <c r="B10" s="33"/>
      <c r="L10" s="4" t="s">
        <v>52</v>
      </c>
      <c r="M10" s="27"/>
      <c r="N10" s="27"/>
      <c r="O10" s="33"/>
      <c r="P10" s="5">
        <f>+P9*B21</f>
        <v>385662.78</v>
      </c>
    </row>
    <row r="11" spans="1:16" ht="17.25" thickTop="1" thickBot="1" x14ac:dyDescent="0.3">
      <c r="A11" s="4" t="s">
        <v>57</v>
      </c>
      <c r="B11" s="43">
        <v>0.55000000000000004</v>
      </c>
      <c r="C11" s="43">
        <v>0.3</v>
      </c>
      <c r="D11" s="43">
        <v>0.15</v>
      </c>
      <c r="F11" s="44">
        <f>+B11+C11+D11</f>
        <v>1</v>
      </c>
      <c r="L11" s="29" t="s">
        <v>13</v>
      </c>
      <c r="M11" s="47"/>
      <c r="N11" s="48"/>
      <c r="O11" s="49"/>
      <c r="P11" s="50">
        <f>+P9-P10</f>
        <v>899879.82000000007</v>
      </c>
    </row>
    <row r="12" spans="1:16" ht="16.5" thickTop="1" x14ac:dyDescent="0.25">
      <c r="B12" s="8"/>
      <c r="C12" s="8"/>
      <c r="D12" s="8"/>
    </row>
    <row r="13" spans="1:16" x14ac:dyDescent="0.25">
      <c r="A13" s="4" t="s">
        <v>59</v>
      </c>
      <c r="B13" s="5">
        <f>+B9*B11</f>
        <v>4298.9100000000008</v>
      </c>
      <c r="C13" s="5">
        <f>+C9*C11</f>
        <v>810</v>
      </c>
      <c r="D13" s="5">
        <f>+D9*D11</f>
        <v>675</v>
      </c>
      <c r="E13" s="4" t="s">
        <v>8</v>
      </c>
      <c r="F13" s="7">
        <f>+B13+C13+D13</f>
        <v>5783.9100000000008</v>
      </c>
    </row>
    <row r="14" spans="1:16" x14ac:dyDescent="0.25">
      <c r="C14" s="5"/>
      <c r="D14" s="5"/>
      <c r="F14" s="7"/>
    </row>
    <row r="15" spans="1:16" x14ac:dyDescent="0.25">
      <c r="A15" s="4" t="s">
        <v>60</v>
      </c>
      <c r="B15" s="8">
        <f>ROUND(H26*B11,0)</f>
        <v>373</v>
      </c>
      <c r="C15" s="8">
        <f>ROUND(H26*C11,0)</f>
        <v>203</v>
      </c>
      <c r="D15" s="8">
        <f>ROUND(H26*D11,0)</f>
        <v>102</v>
      </c>
      <c r="F15" s="7"/>
    </row>
    <row r="16" spans="1:16" ht="16.5" thickBot="1" x14ac:dyDescent="0.3"/>
    <row r="17" spans="1:12" ht="19.5" thickTop="1" thickBot="1" x14ac:dyDescent="0.45">
      <c r="A17" s="4" t="s">
        <v>2</v>
      </c>
      <c r="B17" s="15">
        <f>+'Identificación de Costos'!E35</f>
        <v>2637000</v>
      </c>
      <c r="D17" s="28"/>
      <c r="E17" s="27"/>
      <c r="F17" s="32"/>
      <c r="G17" s="27"/>
      <c r="H17" s="40"/>
      <c r="I17" s="27"/>
      <c r="J17" s="8"/>
      <c r="K17" s="8"/>
      <c r="L17" s="35"/>
    </row>
    <row r="18" spans="1:12" ht="17.25" thickTop="1" thickBot="1" x14ac:dyDescent="0.3">
      <c r="B18" s="4"/>
      <c r="D18" s="42"/>
      <c r="E18" s="42"/>
      <c r="F18" s="42"/>
      <c r="G18" s="27"/>
      <c r="H18" s="28"/>
    </row>
    <row r="19" spans="1:12" ht="17.25" thickTop="1" thickBot="1" x14ac:dyDescent="0.3">
      <c r="A19" s="4" t="s">
        <v>47</v>
      </c>
      <c r="B19" s="15">
        <f>+'Punto de equilibrio economico'!B11</f>
        <v>900000</v>
      </c>
    </row>
    <row r="20" spans="1:12" ht="17.25" thickTop="1" thickBot="1" x14ac:dyDescent="0.3"/>
    <row r="21" spans="1:12" ht="17.25" thickTop="1" thickBot="1" x14ac:dyDescent="0.3">
      <c r="A21" s="4" t="s">
        <v>52</v>
      </c>
      <c r="B21" s="41">
        <v>0.3</v>
      </c>
    </row>
    <row r="22" spans="1:12" ht="16.5" thickTop="1" x14ac:dyDescent="0.25"/>
    <row r="23" spans="1:12" ht="18" x14ac:dyDescent="0.4">
      <c r="A23" s="4" t="s">
        <v>3</v>
      </c>
      <c r="B23" s="45" t="s">
        <v>51</v>
      </c>
      <c r="C23" s="45"/>
      <c r="D23" s="45"/>
      <c r="E23" s="45"/>
      <c r="F23" s="45"/>
    </row>
    <row r="24" spans="1:12" x14ac:dyDescent="0.25">
      <c r="B24" s="46" t="str">
        <f>+A13</f>
        <v>Contribución Marginal Ponderada</v>
      </c>
      <c r="C24" s="46"/>
      <c r="D24" s="46"/>
      <c r="E24" s="46"/>
      <c r="F24" s="46"/>
    </row>
    <row r="26" spans="1:12" ht="18" x14ac:dyDescent="0.4">
      <c r="B26" s="6" t="s">
        <v>3</v>
      </c>
      <c r="C26" s="6"/>
      <c r="D26" s="36">
        <f>+B17+((B19/(1-B21)))</f>
        <v>3922714.2857142854</v>
      </c>
      <c r="E26" s="4" t="s">
        <v>8</v>
      </c>
      <c r="F26" s="8">
        <f>+D26/D27</f>
        <v>678.21150151269387</v>
      </c>
      <c r="G26" s="4" t="s">
        <v>50</v>
      </c>
      <c r="H26" s="8">
        <f>ROUND(F26,0)</f>
        <v>678</v>
      </c>
    </row>
    <row r="27" spans="1:12" x14ac:dyDescent="0.25">
      <c r="D27" s="5">
        <f>+F13</f>
        <v>5783.9100000000008</v>
      </c>
    </row>
  </sheetData>
  <mergeCells count="7">
    <mergeCell ref="A1:I1"/>
    <mergeCell ref="L2:O2"/>
    <mergeCell ref="D18:F18"/>
    <mergeCell ref="B23:F23"/>
    <mergeCell ref="B24:F24"/>
    <mergeCell ref="B26:C26"/>
    <mergeCell ref="M3:O3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Identificación de Costos</vt:lpstr>
      <vt:lpstr>Punto de equilibrio contable</vt:lpstr>
      <vt:lpstr>Punto de equilibrio economico</vt:lpstr>
      <vt:lpstr>P. E. Economico e impuestos</vt:lpstr>
      <vt:lpstr>P. E. E. I. Varios Productos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perez paredes</dc:creator>
  <cp:lastModifiedBy>alfredo perez paredes</cp:lastModifiedBy>
  <dcterms:created xsi:type="dcterms:W3CDTF">2020-10-17T02:00:11Z</dcterms:created>
  <dcterms:modified xsi:type="dcterms:W3CDTF">2020-10-21T15:07:05Z</dcterms:modified>
</cp:coreProperties>
</file>